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61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I33" i="1"/>
  <c r="I38" i="1"/>
  <c r="I36" i="1"/>
  <c r="I19" i="1"/>
  <c r="I6" i="1"/>
  <c r="I11" i="1" l="1"/>
  <c r="I56" i="1" s="1"/>
  <c r="J40" i="1"/>
  <c r="J53" i="1"/>
  <c r="E9" i="1" l="1"/>
  <c r="J9" i="1" s="1"/>
  <c r="E49" i="1" l="1"/>
  <c r="J49" i="1" s="1"/>
  <c r="E52" i="1"/>
  <c r="J52" i="1" s="1"/>
  <c r="E51" i="1"/>
  <c r="J51" i="1" s="1"/>
  <c r="E50" i="1"/>
  <c r="J50" i="1" s="1"/>
  <c r="E37" i="1"/>
  <c r="J37" i="1" s="1"/>
  <c r="E36" i="1"/>
  <c r="J36" i="1" s="1"/>
  <c r="E35" i="1"/>
  <c r="J35" i="1" s="1"/>
  <c r="E34" i="1"/>
  <c r="E31" i="1"/>
  <c r="E30" i="1"/>
  <c r="C24" i="1"/>
  <c r="C25" i="1"/>
  <c r="E29" i="1" l="1"/>
  <c r="J29" i="1" s="1"/>
  <c r="E33" i="1"/>
  <c r="J33" i="1" s="1"/>
  <c r="J34" i="1"/>
  <c r="E48" i="1"/>
  <c r="J48" i="1" s="1"/>
  <c r="E3" i="1"/>
  <c r="J3" i="1" s="1"/>
  <c r="E5" i="1"/>
  <c r="J5" i="1" s="1"/>
  <c r="E12" i="1"/>
  <c r="E13" i="1"/>
  <c r="J13" i="1" s="1"/>
  <c r="E11" i="1" l="1"/>
  <c r="J11" i="1" s="1"/>
  <c r="J12" i="1"/>
  <c r="E17" i="1"/>
  <c r="J17" i="1" s="1"/>
  <c r="A56" i="1"/>
  <c r="G15" i="1"/>
  <c r="G33" i="1"/>
  <c r="G44" i="1"/>
  <c r="G27" i="1"/>
  <c r="E42" i="1"/>
  <c r="J42" i="1" s="1"/>
  <c r="C19" i="1"/>
  <c r="E4" i="1"/>
  <c r="J4" i="1" s="1"/>
  <c r="E44" i="1"/>
  <c r="J44" i="1" s="1"/>
  <c r="G30" i="1"/>
  <c r="E27" i="1"/>
  <c r="J27" i="1" s="1"/>
  <c r="E25" i="1"/>
  <c r="J25" i="1" s="1"/>
  <c r="E24" i="1"/>
  <c r="J24" i="1" s="1"/>
  <c r="E21" i="1"/>
  <c r="J21" i="1" s="1"/>
  <c r="E22" i="1"/>
  <c r="J22" i="1" s="1"/>
  <c r="E23" i="1"/>
  <c r="J23" i="1" s="1"/>
  <c r="E20" i="1"/>
  <c r="J20" i="1" s="1"/>
  <c r="G17" i="1"/>
  <c r="E15" i="1"/>
  <c r="J15" i="1" s="1"/>
  <c r="G11" i="1"/>
  <c r="A57" i="1" l="1"/>
  <c r="A58" i="1" s="1"/>
  <c r="K56" i="1"/>
  <c r="J56" i="1"/>
  <c r="G20" i="1"/>
  <c r="E6" i="1"/>
  <c r="J6" i="1" s="1"/>
  <c r="E19" i="1"/>
  <c r="J19" i="1" s="1"/>
  <c r="E7" i="1" l="1"/>
  <c r="J7" i="1" s="1"/>
</calcChain>
</file>

<file path=xl/comments1.xml><?xml version="1.0" encoding="utf-8"?>
<comments xmlns="http://schemas.openxmlformats.org/spreadsheetml/2006/main">
  <authors>
    <author>Pronina Ekaterina</author>
  </authors>
  <commentList>
    <comment ref="A6" authorId="0">
      <text>
        <r>
          <rPr>
            <b/>
            <sz val="9"/>
            <color indexed="81"/>
            <rFont val="Tahoma"/>
            <family val="2"/>
            <charset val="204"/>
          </rPr>
          <t>Pronina Ekaterina:</t>
        </r>
        <r>
          <rPr>
            <sz val="9"/>
            <color indexed="81"/>
            <rFont val="Tahoma"/>
            <family val="2"/>
            <charset val="204"/>
          </rPr>
          <t xml:space="preserve">
коэффициент на потери (учитывается уличное освещение и сторожка)
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Pronina Ekaterina:</t>
        </r>
        <r>
          <rPr>
            <sz val="9"/>
            <color indexed="81"/>
            <rFont val="Tahoma"/>
            <family val="2"/>
            <charset val="204"/>
          </rPr>
          <t xml:space="preserve">
оплата в последний месяц каждого сезона (февраль, май, август, ноябрь)</t>
        </r>
      </text>
    </comment>
    <comment ref="E11" authorId="0">
      <text>
        <r>
          <rPr>
            <b/>
            <sz val="9"/>
            <color indexed="81"/>
            <rFont val="Tahoma"/>
            <family val="2"/>
            <charset val="204"/>
          </rPr>
          <t>Pronina Ekaterina:</t>
        </r>
        <r>
          <rPr>
            <sz val="9"/>
            <color indexed="81"/>
            <rFont val="Tahoma"/>
            <family val="2"/>
            <charset val="204"/>
          </rPr>
          <t xml:space="preserve">
с учетом доп коста на увеличение частоты </t>
        </r>
      </text>
    </commen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Pronina Ekaterina:</t>
        </r>
        <r>
          <rPr>
            <sz val="9"/>
            <color indexed="81"/>
            <rFont val="Tahoma"/>
            <family val="2"/>
            <charset val="204"/>
          </rPr>
          <t xml:space="preserve">
за 1 вывоз. По графику вывоз мусора 3 раза в неделю</t>
        </r>
      </text>
    </comment>
    <comment ref="D12" authorId="0">
      <text>
        <r>
          <rPr>
            <b/>
            <sz val="9"/>
            <color indexed="81"/>
            <rFont val="Tahoma"/>
            <family val="2"/>
            <charset val="204"/>
          </rPr>
          <t>Pronina Ekaterina:</t>
        </r>
        <r>
          <rPr>
            <sz val="9"/>
            <color indexed="81"/>
            <rFont val="Tahoma"/>
            <family val="2"/>
            <charset val="204"/>
          </rPr>
          <t xml:space="preserve">
сетка для пластика, оплата за аренду ежемесячно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204"/>
          </rPr>
          <t>Pronina Ekaterina:</t>
        </r>
        <r>
          <rPr>
            <sz val="9"/>
            <color indexed="81"/>
            <rFont val="Tahoma"/>
            <family val="2"/>
            <charset val="204"/>
          </rPr>
          <t xml:space="preserve">
Не был оплачен апрель 2022 и август 2021</t>
        </r>
      </text>
    </comment>
    <comment ref="F27" authorId="0">
      <text>
        <r>
          <rPr>
            <b/>
            <sz val="9"/>
            <color indexed="81"/>
            <rFont val="Tahoma"/>
            <family val="2"/>
            <charset val="204"/>
          </rPr>
          <t>Pronina Ekaterina:</t>
        </r>
        <r>
          <rPr>
            <sz val="9"/>
            <color indexed="81"/>
            <rFont val="Tahoma"/>
            <family val="2"/>
            <charset val="204"/>
          </rPr>
          <t xml:space="preserve">
тариф тот же</t>
        </r>
      </text>
    </comment>
    <comment ref="F33" authorId="0">
      <text>
        <r>
          <rPr>
            <b/>
            <sz val="9"/>
            <color indexed="81"/>
            <rFont val="Tahoma"/>
            <family val="2"/>
            <charset val="204"/>
          </rPr>
          <t>Pronina Ekaterina:</t>
        </r>
        <r>
          <rPr>
            <sz val="9"/>
            <color indexed="81"/>
            <rFont val="Tahoma"/>
            <family val="2"/>
            <charset val="204"/>
          </rPr>
          <t xml:space="preserve">
по статье "ремонт электричества"</t>
        </r>
      </text>
    </comment>
    <comment ref="C44" authorId="0">
      <text>
        <r>
          <rPr>
            <b/>
            <sz val="9"/>
            <color indexed="81"/>
            <rFont val="Tahoma"/>
            <family val="2"/>
            <charset val="204"/>
          </rPr>
          <t>Pronina Ekaterina:</t>
        </r>
        <r>
          <rPr>
            <sz val="9"/>
            <color indexed="81"/>
            <rFont val="Tahoma"/>
            <family val="2"/>
            <charset val="204"/>
          </rPr>
          <t xml:space="preserve">
Отсыпка дорог с учетом работ на 4 улицы
</t>
        </r>
      </text>
    </comment>
  </commentList>
</comments>
</file>

<file path=xl/sharedStrings.xml><?xml version="1.0" encoding="utf-8"?>
<sst xmlns="http://schemas.openxmlformats.org/spreadsheetml/2006/main" count="76" uniqueCount="75">
  <si>
    <t>Услуги банка</t>
  </si>
  <si>
    <t>Вывоз мусора</t>
  </si>
  <si>
    <t>Тревожная кнопка</t>
  </si>
  <si>
    <t xml:space="preserve">Земельный налог </t>
  </si>
  <si>
    <t>З/п с учетом налога</t>
  </si>
  <si>
    <t>Интернет</t>
  </si>
  <si>
    <t>Чистка снега</t>
  </si>
  <si>
    <t>Замена ламп фонарей, электрика</t>
  </si>
  <si>
    <t>Программа для бухгалтера</t>
  </si>
  <si>
    <t>Отсыпка дорог</t>
  </si>
  <si>
    <t>Подрядчик</t>
  </si>
  <si>
    <t>Рузский региональный оператор</t>
  </si>
  <si>
    <t>Тариф</t>
  </si>
  <si>
    <t>Заложено</t>
  </si>
  <si>
    <t>Дополнительно</t>
  </si>
  <si>
    <t>Прошлый год</t>
  </si>
  <si>
    <t>Прирост к прошлому году</t>
  </si>
  <si>
    <t>Председатель</t>
  </si>
  <si>
    <t>Бухгалтер</t>
  </si>
  <si>
    <t>Сторож</t>
  </si>
  <si>
    <t>Электрик</t>
  </si>
  <si>
    <t>НДФЛ (13%)</t>
  </si>
  <si>
    <t>Истранет</t>
  </si>
  <si>
    <t>Уличное освещение</t>
  </si>
  <si>
    <t>Мосэнергосбыт</t>
  </si>
  <si>
    <t>Содержание сторожки</t>
  </si>
  <si>
    <t>Потери</t>
  </si>
  <si>
    <t>Должники</t>
  </si>
  <si>
    <t>Установка видеонаблюдения на ул. Лесная и Зеленая</t>
  </si>
  <si>
    <t>Кабель</t>
  </si>
  <si>
    <t>Камеры</t>
  </si>
  <si>
    <t>Стоимость материалов</t>
  </si>
  <si>
    <t>Работа</t>
  </si>
  <si>
    <t>Расчет</t>
  </si>
  <si>
    <t xml:space="preserve">Филиал "Центральный" Банка ВТБ </t>
  </si>
  <si>
    <t>Итого:</t>
  </si>
  <si>
    <t>Вывоз обычного мусора</t>
  </si>
  <si>
    <t>Крупногабарит</t>
  </si>
  <si>
    <t>коэффициент 1,2</t>
  </si>
  <si>
    <t>4 чел не вынесли счетчики</t>
  </si>
  <si>
    <t>В прошлом году не оплатили и нам отключили услуги. Платим ежемесячно</t>
  </si>
  <si>
    <t>Налог с ФОТ</t>
  </si>
  <si>
    <t>Есть 3 подрядчика. От 6000 до 11000</t>
  </si>
  <si>
    <t>Обычная</t>
  </si>
  <si>
    <t>Авральная</t>
  </si>
  <si>
    <t>Лампы</t>
  </si>
  <si>
    <t>Плафоны</t>
  </si>
  <si>
    <t>Расходники</t>
  </si>
  <si>
    <t>Обслуживание подстанции</t>
  </si>
  <si>
    <t>Тут заложено таймерное реле</t>
  </si>
  <si>
    <t>Хозяйственные расходы и необходимые работы: бумага, бензин, телефон, петли, леска и т.д.</t>
  </si>
  <si>
    <t>1С: Садовод (если больше 100 домов), в год</t>
  </si>
  <si>
    <t>1 куб - 1500 руб. В машину загружают 7 кубов (= 10500 руб). Водитель берет 2500. Рабочий берет 7000</t>
  </si>
  <si>
    <t>Кронштейны</t>
  </si>
  <si>
    <t>Коммутатор (свитч)</t>
  </si>
  <si>
    <t>Оплата электроэнергии из членских взносов</t>
  </si>
  <si>
    <t>Не платили несколько месяцев, т.к. не было</t>
  </si>
  <si>
    <t>Было: Декабрь - 12 000 (2 раза по 6), февраль - 36 000 (разные тарифы)</t>
  </si>
  <si>
    <t>Тариф зависит от нагрузок на банк (количество операций) и возможно повышение (уже было повышение до 1250 в месяц)</t>
  </si>
  <si>
    <t>Факт</t>
  </si>
  <si>
    <t>Комментарии/вопросы 2022</t>
  </si>
  <si>
    <t>Комментарии/вопросы 2023</t>
  </si>
  <si>
    <t>Электронная отчетность</t>
  </si>
  <si>
    <t>План/
Факт</t>
  </si>
  <si>
    <t>Текущий тариф - 3648 руб за 3 мес</t>
  </si>
  <si>
    <t>Переплата предыдущих периодов (2021 год). Поэтому оплаченная сумма меньше</t>
  </si>
  <si>
    <t>По 7 000 руб 7 раз</t>
  </si>
  <si>
    <t>1 удлинитель и 2 тройника</t>
  </si>
  <si>
    <t>Не заложили при планировании сметы. Электронная отчетность в ИФНС. Заложить при планировании следующего периода</t>
  </si>
  <si>
    <t>Прочее</t>
  </si>
  <si>
    <t>Бесперебойник - 1380, провода - 4890, распределительный монтажный шкаф (2шт) - 4320</t>
  </si>
  <si>
    <t>Светильник светодиодный уличный - 2 шт</t>
  </si>
  <si>
    <t>На 1.06 работа не оплачена</t>
  </si>
  <si>
    <t>С учетом налога самозанятого</t>
  </si>
  <si>
    <t>В т.ч. Ремонт ворот и калитки - 7000, расходы на канц. товары, ксерокопирование - 2340 ,бензин, телефон — 18 723,54 руб., Агрокиппер — 2000,00руб, Возврат - 800, Оплата сайта - 5400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</si>
</sst>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44" fontId="0" fillId="0" borderId="0" xfId="1" applyFont="1"/>
    <xf numFmtId="44" fontId="0" fillId="0" borderId="0" xfId="1" applyFont="1" applyAlignment="1">
      <alignment wrapText="1"/>
    </xf>
    <xf numFmtId="44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4" fontId="0" fillId="0" borderId="1" xfId="1" applyFont="1" applyBorder="1" applyAlignment="1">
      <alignment wrapText="1"/>
    </xf>
    <xf numFmtId="0" fontId="0" fillId="0" borderId="2" xfId="0" applyBorder="1"/>
    <xf numFmtId="44" fontId="0" fillId="0" borderId="2" xfId="1" applyFont="1" applyBorder="1"/>
    <xf numFmtId="0" fontId="0" fillId="0" borderId="3" xfId="0" applyBorder="1" applyAlignment="1">
      <alignment wrapText="1"/>
    </xf>
    <xf numFmtId="44" fontId="2" fillId="0" borderId="4" xfId="1" applyFont="1" applyBorder="1" applyAlignment="1">
      <alignment wrapText="1"/>
    </xf>
    <xf numFmtId="0" fontId="0" fillId="0" borderId="0" xfId="0" applyBorder="1"/>
    <xf numFmtId="44" fontId="0" fillId="0" borderId="0" xfId="1" applyFont="1" applyBorder="1"/>
    <xf numFmtId="0" fontId="0" fillId="0" borderId="5" xfId="0" applyBorder="1" applyAlignment="1">
      <alignment wrapText="1"/>
    </xf>
    <xf numFmtId="44" fontId="5" fillId="0" borderId="4" xfId="1" applyFont="1" applyBorder="1" applyAlignment="1">
      <alignment horizontal="right" wrapText="1"/>
    </xf>
    <xf numFmtId="44" fontId="5" fillId="0" borderId="6" xfId="1" applyFont="1" applyBorder="1" applyAlignment="1">
      <alignment horizontal="right" wrapText="1"/>
    </xf>
    <xf numFmtId="0" fontId="0" fillId="0" borderId="7" xfId="0" applyBorder="1"/>
    <xf numFmtId="44" fontId="0" fillId="0" borderId="7" xfId="1" applyFont="1" applyBorder="1"/>
    <xf numFmtId="0" fontId="0" fillId="0" borderId="8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44" fontId="2" fillId="0" borderId="6" xfId="1" applyFont="1" applyBorder="1" applyAlignment="1">
      <alignment wrapText="1"/>
    </xf>
    <xf numFmtId="9" fontId="0" fillId="0" borderId="7" xfId="2" applyFont="1" applyBorder="1"/>
    <xf numFmtId="44" fontId="2" fillId="0" borderId="7" xfId="1" applyFont="1" applyBorder="1"/>
    <xf numFmtId="44" fontId="0" fillId="0" borderId="0" xfId="1" applyFont="1" applyFill="1" applyBorder="1"/>
    <xf numFmtId="9" fontId="0" fillId="0" borderId="0" xfId="2" applyFont="1" applyBorder="1"/>
    <xf numFmtId="44" fontId="0" fillId="0" borderId="7" xfId="1" applyFont="1" applyFill="1" applyBorder="1"/>
    <xf numFmtId="44" fontId="2" fillId="0" borderId="0" xfId="1" applyFont="1" applyBorder="1" applyAlignment="1">
      <alignment wrapText="1"/>
    </xf>
    <xf numFmtId="44" fontId="2" fillId="0" borderId="0" xfId="1" applyFont="1" applyFill="1" applyBorder="1"/>
    <xf numFmtId="44" fontId="1" fillId="0" borderId="0" xfId="1" applyFont="1" applyFill="1" applyBorder="1"/>
    <xf numFmtId="44" fontId="2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4" fontId="0" fillId="0" borderId="2" xfId="1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7" xfId="0" applyFill="1" applyBorder="1"/>
    <xf numFmtId="44" fontId="2" fillId="0" borderId="7" xfId="1" applyFont="1" applyFill="1" applyBorder="1"/>
    <xf numFmtId="44" fontId="0" fillId="0" borderId="0" xfId="1" applyFont="1" applyFill="1"/>
    <xf numFmtId="0" fontId="0" fillId="0" borderId="0" xfId="0" applyFill="1"/>
    <xf numFmtId="44" fontId="2" fillId="0" borderId="0" xfId="1" applyFont="1" applyFill="1"/>
    <xf numFmtId="44" fontId="2" fillId="0" borderId="7" xfId="1" applyFont="1" applyFill="1" applyBorder="1" applyAlignment="1">
      <alignment wrapText="1"/>
    </xf>
    <xf numFmtId="44" fontId="5" fillId="0" borderId="0" xfId="1" applyFont="1" applyBorder="1" applyAlignment="1">
      <alignment horizontal="right" wrapText="1"/>
    </xf>
    <xf numFmtId="44" fontId="0" fillId="2" borderId="1" xfId="1" applyFont="1" applyFill="1" applyBorder="1" applyAlignment="1">
      <alignment wrapText="1"/>
    </xf>
    <xf numFmtId="9" fontId="0" fillId="0" borderId="0" xfId="2" applyFont="1"/>
    <xf numFmtId="44" fontId="0" fillId="3" borderId="1" xfId="1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44" fontId="0" fillId="3" borderId="2" xfId="1" applyFont="1" applyFill="1" applyBorder="1"/>
    <xf numFmtId="0" fontId="0" fillId="3" borderId="2" xfId="0" applyFill="1" applyBorder="1"/>
    <xf numFmtId="0" fontId="0" fillId="3" borderId="3" xfId="0" applyFill="1" applyBorder="1" applyAlignment="1">
      <alignment wrapText="1"/>
    </xf>
    <xf numFmtId="44" fontId="2" fillId="3" borderId="4" xfId="1" applyFont="1" applyFill="1" applyBorder="1" applyAlignment="1">
      <alignment wrapText="1"/>
    </xf>
    <xf numFmtId="0" fontId="0" fillId="3" borderId="0" xfId="0" applyFill="1" applyBorder="1" applyAlignment="1">
      <alignment wrapText="1"/>
    </xf>
    <xf numFmtId="44" fontId="0" fillId="3" borderId="0" xfId="1" applyFont="1" applyFill="1" applyBorder="1"/>
    <xf numFmtId="0" fontId="0" fillId="3" borderId="0" xfId="0" applyFill="1" applyBorder="1"/>
    <xf numFmtId="44" fontId="2" fillId="3" borderId="0" xfId="1" applyFont="1" applyFill="1" applyBorder="1"/>
    <xf numFmtId="9" fontId="0" fillId="3" borderId="0" xfId="2" applyFont="1" applyFill="1" applyBorder="1"/>
    <xf numFmtId="0" fontId="0" fillId="3" borderId="0" xfId="0" applyFill="1" applyAlignment="1">
      <alignment wrapText="1"/>
    </xf>
    <xf numFmtId="44" fontId="5" fillId="3" borderId="4" xfId="1" applyFont="1" applyFill="1" applyBorder="1" applyAlignment="1">
      <alignment horizontal="right" wrapText="1"/>
    </xf>
    <xf numFmtId="0" fontId="0" fillId="3" borderId="5" xfId="0" applyFill="1" applyBorder="1" applyAlignment="1">
      <alignment wrapText="1"/>
    </xf>
    <xf numFmtId="44" fontId="5" fillId="3" borderId="6" xfId="1" applyFont="1" applyFill="1" applyBorder="1" applyAlignment="1">
      <alignment horizontal="right" wrapText="1"/>
    </xf>
    <xf numFmtId="0" fontId="0" fillId="3" borderId="7" xfId="0" applyFill="1" applyBorder="1" applyAlignment="1">
      <alignment wrapText="1"/>
    </xf>
    <xf numFmtId="44" fontId="0" fillId="3" borderId="7" xfId="1" applyFont="1" applyFill="1" applyBorder="1"/>
    <xf numFmtId="0" fontId="0" fillId="3" borderId="7" xfId="0" applyFill="1" applyBorder="1"/>
    <xf numFmtId="9" fontId="0" fillId="3" borderId="7" xfId="2" applyFont="1" applyFill="1" applyBorder="1"/>
    <xf numFmtId="0" fontId="0" fillId="3" borderId="8" xfId="0" applyFill="1" applyBorder="1" applyAlignment="1">
      <alignment wrapText="1"/>
    </xf>
    <xf numFmtId="44" fontId="6" fillId="0" borderId="0" xfId="1" applyFont="1" applyAlignment="1">
      <alignment wrapText="1"/>
    </xf>
    <xf numFmtId="44" fontId="2" fillId="0" borderId="0" xfId="1" applyFont="1"/>
    <xf numFmtId="9" fontId="2" fillId="0" borderId="0" xfId="2" applyFont="1"/>
    <xf numFmtId="0" fontId="0" fillId="0" borderId="0" xfId="0" applyFont="1" applyAlignment="1">
      <alignment wrapText="1"/>
    </xf>
    <xf numFmtId="44" fontId="0" fillId="4" borderId="0" xfId="0" applyNumberFormat="1" applyFill="1" applyAlignment="1">
      <alignment wrapText="1"/>
    </xf>
    <xf numFmtId="44" fontId="0" fillId="0" borderId="0" xfId="1" applyFont="1" applyBorder="1" applyAlignment="1">
      <alignment horizontal="center" vertical="center"/>
    </xf>
    <xf numFmtId="9" fontId="0" fillId="0" borderId="0" xfId="2" applyFont="1" applyBorder="1" applyAlignment="1">
      <alignment horizontal="right" vertic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8"/>
  <sheetViews>
    <sheetView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K40" sqref="K40"/>
    </sheetView>
  </sheetViews>
  <sheetFormatPr defaultRowHeight="15" outlineLevelRow="1" x14ac:dyDescent="0.25"/>
  <cols>
    <col min="1" max="1" width="38.28515625" style="2" customWidth="1"/>
    <col min="2" max="2" width="33.5703125" style="5" customWidth="1"/>
    <col min="3" max="3" width="12.7109375" style="38" bestFit="1" customWidth="1"/>
    <col min="4" max="4" width="14.7109375" style="39" bestFit="1" customWidth="1"/>
    <col min="5" max="5" width="14" style="38" bestFit="1" customWidth="1"/>
    <col min="6" max="6" width="12.5703125" style="1" bestFit="1" customWidth="1"/>
    <col min="7" max="7" width="10.28515625" customWidth="1"/>
    <col min="8" max="8" width="29.28515625" style="5" customWidth="1"/>
    <col min="9" max="9" width="14.42578125" style="1" bestFit="1" customWidth="1"/>
    <col min="10" max="10" width="8.7109375" bestFit="1" customWidth="1"/>
    <col min="11" max="11" width="31.28515625" style="5" customWidth="1"/>
  </cols>
  <sheetData>
    <row r="1" spans="1:11" s="4" customFormat="1" ht="45" x14ac:dyDescent="0.25">
      <c r="A1" s="3" t="s">
        <v>13</v>
      </c>
      <c r="B1" s="4" t="s">
        <v>10</v>
      </c>
      <c r="C1" s="31" t="s">
        <v>12</v>
      </c>
      <c r="D1" s="32" t="s">
        <v>14</v>
      </c>
      <c r="E1" s="31" t="s">
        <v>33</v>
      </c>
      <c r="F1" s="3" t="s">
        <v>15</v>
      </c>
      <c r="G1" s="4" t="s">
        <v>16</v>
      </c>
      <c r="H1" s="4" t="s">
        <v>60</v>
      </c>
      <c r="I1" s="3" t="s">
        <v>59</v>
      </c>
      <c r="J1" s="4" t="s">
        <v>63</v>
      </c>
      <c r="K1" s="4" t="s">
        <v>61</v>
      </c>
    </row>
    <row r="2" spans="1:11" ht="30" x14ac:dyDescent="0.25">
      <c r="A2" s="6" t="s">
        <v>55</v>
      </c>
      <c r="B2" s="19"/>
      <c r="C2" s="33"/>
      <c r="D2" s="34"/>
      <c r="E2" s="33"/>
      <c r="F2" s="8"/>
      <c r="G2" s="7"/>
      <c r="H2" s="9" t="s">
        <v>39</v>
      </c>
    </row>
    <row r="3" spans="1:11" x14ac:dyDescent="0.25">
      <c r="A3" s="10">
        <v>450000</v>
      </c>
      <c r="B3" s="20"/>
      <c r="C3" s="25"/>
      <c r="D3" s="35"/>
      <c r="E3" s="29">
        <f>A3</f>
        <v>450000</v>
      </c>
      <c r="F3" s="12"/>
      <c r="G3" s="11"/>
      <c r="H3" s="13"/>
      <c r="I3" s="66">
        <v>455374.03</v>
      </c>
      <c r="J3" s="44">
        <f>I3/E3</f>
        <v>1.0119422888888889</v>
      </c>
    </row>
    <row r="4" spans="1:11" ht="14.45" hidden="1" outlineLevel="1" x14ac:dyDescent="0.3">
      <c r="A4" s="14" t="s">
        <v>23</v>
      </c>
      <c r="B4" s="20" t="s">
        <v>24</v>
      </c>
      <c r="C4" s="25">
        <v>100000</v>
      </c>
      <c r="D4" s="35"/>
      <c r="E4" s="25">
        <f>C4</f>
        <v>100000</v>
      </c>
      <c r="F4" s="12"/>
      <c r="G4" s="11"/>
      <c r="H4" s="13"/>
      <c r="I4" s="1">
        <v>124126.05</v>
      </c>
      <c r="J4" s="44">
        <f t="shared" ref="J4:J53" si="0">I4/E4</f>
        <v>1.2412605000000001</v>
      </c>
    </row>
    <row r="5" spans="1:11" ht="14.45" hidden="1" outlineLevel="1" x14ac:dyDescent="0.3">
      <c r="A5" s="14" t="s">
        <v>25</v>
      </c>
      <c r="B5" s="20"/>
      <c r="C5" s="25">
        <v>50000</v>
      </c>
      <c r="D5" s="35"/>
      <c r="E5" s="25">
        <f>C5</f>
        <v>50000</v>
      </c>
      <c r="F5" s="12"/>
      <c r="G5" s="11"/>
      <c r="H5" s="13"/>
      <c r="I5" s="1">
        <v>26081.33</v>
      </c>
      <c r="J5" s="44">
        <f t="shared" si="0"/>
        <v>0.52162660000000005</v>
      </c>
    </row>
    <row r="6" spans="1:11" ht="14.45" hidden="1" outlineLevel="1" x14ac:dyDescent="0.3">
      <c r="A6" s="14" t="s">
        <v>26</v>
      </c>
      <c r="B6" s="20"/>
      <c r="C6" s="25" t="s">
        <v>38</v>
      </c>
      <c r="D6" s="35"/>
      <c r="E6" s="25">
        <f>(E4+E5)*1.2</f>
        <v>180000</v>
      </c>
      <c r="F6" s="12"/>
      <c r="G6" s="11"/>
      <c r="H6" s="13"/>
      <c r="I6" s="25">
        <f>I3-I4-I5-I7</f>
        <v>123283.76000000001</v>
      </c>
      <c r="J6" s="44">
        <f t="shared" si="0"/>
        <v>0.68490977777777784</v>
      </c>
    </row>
    <row r="7" spans="1:11" ht="14.45" hidden="1" outlineLevel="1" x14ac:dyDescent="0.3">
      <c r="A7" s="15" t="s">
        <v>27</v>
      </c>
      <c r="B7" s="20"/>
      <c r="C7" s="27"/>
      <c r="D7" s="36"/>
      <c r="E7" s="27">
        <f>A3-(E4+E5+E6)</f>
        <v>120000</v>
      </c>
      <c r="F7" s="17"/>
      <c r="G7" s="16"/>
      <c r="H7" s="13"/>
      <c r="I7" s="1">
        <v>181882.89</v>
      </c>
      <c r="J7" s="44">
        <f t="shared" si="0"/>
        <v>1.5156907500000001</v>
      </c>
    </row>
    <row r="8" spans="1:11" collapsed="1" x14ac:dyDescent="0.25">
      <c r="A8" s="6" t="s">
        <v>0</v>
      </c>
      <c r="B8" s="19" t="s">
        <v>34</v>
      </c>
      <c r="C8" s="33"/>
      <c r="D8" s="34"/>
      <c r="E8" s="33"/>
      <c r="F8" s="8"/>
      <c r="G8" s="7"/>
      <c r="H8" s="9"/>
      <c r="J8" s="44"/>
    </row>
    <row r="9" spans="1:11" ht="75" x14ac:dyDescent="0.25">
      <c r="A9" s="22">
        <v>13680</v>
      </c>
      <c r="B9" s="21"/>
      <c r="C9" s="27">
        <v>3420</v>
      </c>
      <c r="D9" s="36"/>
      <c r="E9" s="37">
        <f>C9*4</f>
        <v>13680</v>
      </c>
      <c r="F9" s="17">
        <v>13680</v>
      </c>
      <c r="G9" s="16"/>
      <c r="H9" s="18" t="s">
        <v>58</v>
      </c>
      <c r="I9" s="66">
        <v>14592</v>
      </c>
      <c r="J9" s="44">
        <f t="shared" si="0"/>
        <v>1.0666666666666667</v>
      </c>
      <c r="K9" s="5" t="s">
        <v>64</v>
      </c>
    </row>
    <row r="10" spans="1:11" x14ac:dyDescent="0.25">
      <c r="A10" s="6" t="s">
        <v>1</v>
      </c>
      <c r="B10" s="19" t="s">
        <v>11</v>
      </c>
      <c r="C10" s="33"/>
      <c r="D10" s="34"/>
      <c r="E10" s="33"/>
      <c r="F10" s="8"/>
      <c r="G10" s="7"/>
      <c r="H10" s="9"/>
      <c r="J10" s="44"/>
    </row>
    <row r="11" spans="1:11" x14ac:dyDescent="0.25">
      <c r="A11" s="28">
        <v>241400</v>
      </c>
      <c r="B11" s="20"/>
      <c r="E11" s="40">
        <f>E12+E13+17000</f>
        <v>241353.2</v>
      </c>
      <c r="F11" s="12">
        <v>170012.15</v>
      </c>
      <c r="G11" s="26">
        <f>A11/F11-100%</f>
        <v>0.41989851901761144</v>
      </c>
      <c r="H11" s="20"/>
      <c r="I11" s="66">
        <f>I12+I13</f>
        <v>118385.66</v>
      </c>
      <c r="J11" s="44">
        <f t="shared" si="0"/>
        <v>0.49050793608702931</v>
      </c>
    </row>
    <row r="12" spans="1:11" x14ac:dyDescent="0.25">
      <c r="A12" s="14" t="s">
        <v>36</v>
      </c>
      <c r="B12" s="20"/>
      <c r="C12" s="25">
        <v>1133.1500000000001</v>
      </c>
      <c r="D12" s="25">
        <v>332</v>
      </c>
      <c r="E12" s="30">
        <f>C12*3*52+332*12+C12*12</f>
        <v>194353.2</v>
      </c>
      <c r="H12" s="20"/>
      <c r="I12" s="1">
        <v>108785.66</v>
      </c>
      <c r="J12" s="44">
        <f t="shared" si="0"/>
        <v>0.55973176670103708</v>
      </c>
    </row>
    <row r="13" spans="1:11" x14ac:dyDescent="0.25">
      <c r="A13" s="14" t="s">
        <v>37</v>
      </c>
      <c r="B13" s="20"/>
      <c r="C13" s="25">
        <v>10000</v>
      </c>
      <c r="D13" s="25"/>
      <c r="E13" s="30">
        <f>C13*3</f>
        <v>30000</v>
      </c>
      <c r="F13" s="12"/>
      <c r="G13" s="26"/>
      <c r="H13" s="13"/>
      <c r="I13" s="1">
        <v>9600</v>
      </c>
      <c r="J13" s="44">
        <f t="shared" si="0"/>
        <v>0.32</v>
      </c>
    </row>
    <row r="14" spans="1:11" x14ac:dyDescent="0.25">
      <c r="A14" s="6" t="s">
        <v>2</v>
      </c>
      <c r="B14" s="19"/>
      <c r="C14" s="33"/>
      <c r="D14" s="34"/>
      <c r="E14" s="33"/>
      <c r="F14" s="8"/>
      <c r="G14" s="7"/>
      <c r="H14" s="9"/>
      <c r="J14" s="44"/>
    </row>
    <row r="15" spans="1:11" ht="45" x14ac:dyDescent="0.25">
      <c r="A15" s="22">
        <v>18000</v>
      </c>
      <c r="B15" s="21"/>
      <c r="C15" s="27">
        <v>1500</v>
      </c>
      <c r="D15" s="36"/>
      <c r="E15" s="37">
        <f>C15*12</f>
        <v>18000</v>
      </c>
      <c r="F15" s="17">
        <v>15000</v>
      </c>
      <c r="G15" s="23">
        <f>A15/F15-100%</f>
        <v>0.19999999999999996</v>
      </c>
      <c r="H15" s="18" t="s">
        <v>40</v>
      </c>
      <c r="I15" s="66">
        <v>18000</v>
      </c>
      <c r="J15" s="44">
        <f t="shared" si="0"/>
        <v>1</v>
      </c>
    </row>
    <row r="16" spans="1:11" x14ac:dyDescent="0.25">
      <c r="A16" s="6" t="s">
        <v>3</v>
      </c>
      <c r="B16" s="19"/>
      <c r="C16" s="33"/>
      <c r="D16" s="34"/>
      <c r="E16" s="33"/>
      <c r="F16" s="8"/>
      <c r="G16" s="7"/>
      <c r="H16" s="9"/>
      <c r="J16" s="44"/>
    </row>
    <row r="17" spans="1:11" ht="45" x14ac:dyDescent="0.25">
      <c r="A17" s="22">
        <v>56276</v>
      </c>
      <c r="B17" s="21"/>
      <c r="C17" s="27">
        <v>14069</v>
      </c>
      <c r="D17" s="36"/>
      <c r="E17" s="37">
        <f>C17*4</f>
        <v>56276</v>
      </c>
      <c r="F17" s="24">
        <v>62207</v>
      </c>
      <c r="G17" s="23">
        <f>A17/F17-100%</f>
        <v>-9.5342967833202064E-2</v>
      </c>
      <c r="H17" s="18"/>
      <c r="I17" s="66">
        <v>42207</v>
      </c>
      <c r="J17" s="44">
        <f t="shared" si="0"/>
        <v>0.75</v>
      </c>
      <c r="K17" s="68" t="s">
        <v>65</v>
      </c>
    </row>
    <row r="18" spans="1:11" x14ac:dyDescent="0.25">
      <c r="A18" s="6" t="s">
        <v>4</v>
      </c>
      <c r="B18" s="19"/>
      <c r="C18" s="33"/>
      <c r="D18" s="34"/>
      <c r="E18" s="33"/>
      <c r="F18" s="8"/>
      <c r="G18" s="7"/>
      <c r="H18" s="9"/>
      <c r="J18" s="44"/>
    </row>
    <row r="19" spans="1:11" x14ac:dyDescent="0.25">
      <c r="A19" s="10">
        <v>743000</v>
      </c>
      <c r="B19" s="20"/>
      <c r="C19" s="25">
        <f>SUM(C20:C25)</f>
        <v>61913.793103448275</v>
      </c>
      <c r="D19" s="35"/>
      <c r="E19" s="29">
        <f>SUM(E20:E25)</f>
        <v>742965.51724137936</v>
      </c>
      <c r="F19" s="12"/>
      <c r="G19" s="11"/>
      <c r="H19" s="13"/>
      <c r="I19" s="66">
        <f>SUM(I20:I25)</f>
        <v>626316.04</v>
      </c>
      <c r="J19" s="44">
        <f t="shared" si="0"/>
        <v>0.84299476283300845</v>
      </c>
    </row>
    <row r="20" spans="1:11" x14ac:dyDescent="0.25">
      <c r="A20" s="14" t="s">
        <v>17</v>
      </c>
      <c r="B20" s="20"/>
      <c r="C20" s="25">
        <v>15000</v>
      </c>
      <c r="D20" s="35"/>
      <c r="E20" s="25">
        <f>C20*12</f>
        <v>180000</v>
      </c>
      <c r="F20" s="70">
        <v>641548</v>
      </c>
      <c r="G20" s="71">
        <f>(E20+E21+E22+E23)/F20-100%</f>
        <v>2.8761682680017664E-2</v>
      </c>
      <c r="H20" s="13"/>
      <c r="I20" s="1">
        <v>150000</v>
      </c>
      <c r="J20" s="44">
        <f t="shared" si="0"/>
        <v>0.83333333333333337</v>
      </c>
    </row>
    <row r="21" spans="1:11" x14ac:dyDescent="0.25">
      <c r="A21" s="14" t="s">
        <v>18</v>
      </c>
      <c r="B21" s="20"/>
      <c r="C21" s="25">
        <v>15000</v>
      </c>
      <c r="D21" s="35"/>
      <c r="E21" s="25">
        <f t="shared" ref="E21:E23" si="1">C21*12</f>
        <v>180000</v>
      </c>
      <c r="F21" s="70"/>
      <c r="G21" s="71"/>
      <c r="H21" s="13"/>
      <c r="I21" s="1">
        <v>152873</v>
      </c>
      <c r="J21" s="44">
        <f t="shared" si="0"/>
        <v>0.84929444444444446</v>
      </c>
      <c r="K21" s="5" t="s">
        <v>73</v>
      </c>
    </row>
    <row r="22" spans="1:11" x14ac:dyDescent="0.25">
      <c r="A22" s="14" t="s">
        <v>19</v>
      </c>
      <c r="B22" s="20"/>
      <c r="C22" s="25">
        <v>15000</v>
      </c>
      <c r="D22" s="35"/>
      <c r="E22" s="25">
        <f t="shared" si="1"/>
        <v>180000</v>
      </c>
      <c r="F22" s="70"/>
      <c r="G22" s="71"/>
      <c r="H22" s="13"/>
      <c r="I22" s="1">
        <v>150000</v>
      </c>
      <c r="J22" s="44">
        <f t="shared" si="0"/>
        <v>0.83333333333333337</v>
      </c>
    </row>
    <row r="23" spans="1:11" x14ac:dyDescent="0.25">
      <c r="A23" s="14" t="s">
        <v>20</v>
      </c>
      <c r="B23" s="20"/>
      <c r="C23" s="25">
        <v>10000</v>
      </c>
      <c r="D23" s="35"/>
      <c r="E23" s="25">
        <f t="shared" si="1"/>
        <v>120000</v>
      </c>
      <c r="F23" s="70"/>
      <c r="G23" s="71"/>
      <c r="H23" s="13"/>
      <c r="I23" s="1">
        <v>100000</v>
      </c>
      <c r="J23" s="44">
        <f t="shared" si="0"/>
        <v>0.83333333333333337</v>
      </c>
    </row>
    <row r="24" spans="1:11" x14ac:dyDescent="0.25">
      <c r="A24" s="14" t="s">
        <v>21</v>
      </c>
      <c r="B24" s="20"/>
      <c r="C24" s="25">
        <f>SUM(C$20)*13/87</f>
        <v>2241.3793103448274</v>
      </c>
      <c r="D24" s="35"/>
      <c r="E24" s="25">
        <f>C24*12</f>
        <v>26896.551724137928</v>
      </c>
      <c r="F24" s="12"/>
      <c r="G24" s="11"/>
      <c r="H24" s="13"/>
      <c r="I24" s="1">
        <v>24651</v>
      </c>
      <c r="J24" s="44">
        <f t="shared" si="0"/>
        <v>0.91651153846153854</v>
      </c>
    </row>
    <row r="25" spans="1:11" x14ac:dyDescent="0.25">
      <c r="A25" s="14" t="s">
        <v>41</v>
      </c>
      <c r="B25" s="20"/>
      <c r="C25" s="25">
        <f>C20*100/87*27.1%</f>
        <v>4672.4137931034484</v>
      </c>
      <c r="D25" s="35"/>
      <c r="E25" s="25">
        <f t="shared" ref="E25" si="2">C25*12</f>
        <v>56068.965517241377</v>
      </c>
      <c r="F25" s="12"/>
      <c r="G25" s="11"/>
      <c r="H25" s="13"/>
      <c r="I25" s="1">
        <v>48792.04</v>
      </c>
      <c r="J25" s="44">
        <f t="shared" si="0"/>
        <v>0.87021473554735551</v>
      </c>
    </row>
    <row r="26" spans="1:11" x14ac:dyDescent="0.25">
      <c r="A26" s="6" t="s">
        <v>5</v>
      </c>
      <c r="B26" s="19" t="s">
        <v>22</v>
      </c>
      <c r="C26" s="33"/>
      <c r="D26" s="34"/>
      <c r="E26" s="33"/>
      <c r="F26" s="8"/>
      <c r="G26" s="7"/>
      <c r="H26" s="9"/>
      <c r="J26" s="44"/>
    </row>
    <row r="27" spans="1:11" ht="30" x14ac:dyDescent="0.25">
      <c r="A27" s="22">
        <v>6000</v>
      </c>
      <c r="B27" s="21"/>
      <c r="C27" s="27">
        <v>500</v>
      </c>
      <c r="D27" s="36"/>
      <c r="E27" s="37">
        <f>C27*12</f>
        <v>6000</v>
      </c>
      <c r="F27" s="17">
        <v>2000</v>
      </c>
      <c r="G27" s="23">
        <f>A27/F27-100%</f>
        <v>2</v>
      </c>
      <c r="H27" s="18" t="s">
        <v>56</v>
      </c>
      <c r="I27" s="66">
        <v>0</v>
      </c>
      <c r="J27" s="44">
        <f t="shared" si="0"/>
        <v>0</v>
      </c>
    </row>
    <row r="28" spans="1:11" ht="45" x14ac:dyDescent="0.25">
      <c r="A28" s="6" t="s">
        <v>6</v>
      </c>
      <c r="B28" s="19"/>
      <c r="C28" s="33"/>
      <c r="D28" s="34"/>
      <c r="E28" s="33"/>
      <c r="F28" s="8"/>
      <c r="G28" s="7"/>
      <c r="H28" s="9" t="s">
        <v>57</v>
      </c>
      <c r="J28" s="67"/>
    </row>
    <row r="29" spans="1:11" ht="30" x14ac:dyDescent="0.25">
      <c r="A29" s="28">
        <v>82000</v>
      </c>
      <c r="B29" s="20"/>
      <c r="C29" s="25"/>
      <c r="D29" s="35"/>
      <c r="E29" s="29">
        <f>E30+E31</f>
        <v>82000</v>
      </c>
      <c r="F29" s="12"/>
      <c r="G29" s="11"/>
      <c r="H29" s="20" t="s">
        <v>42</v>
      </c>
      <c r="I29" s="66">
        <v>49000</v>
      </c>
      <c r="J29" s="44">
        <f t="shared" si="0"/>
        <v>0.59756097560975607</v>
      </c>
      <c r="K29" s="5" t="s">
        <v>66</v>
      </c>
    </row>
    <row r="30" spans="1:11" x14ac:dyDescent="0.25">
      <c r="A30" s="42" t="s">
        <v>43</v>
      </c>
      <c r="B30" s="20"/>
      <c r="C30" s="25">
        <v>9000</v>
      </c>
      <c r="D30" s="35"/>
      <c r="E30" s="25">
        <f>C30*8</f>
        <v>72000</v>
      </c>
      <c r="F30" s="12">
        <v>48500</v>
      </c>
      <c r="G30" s="26">
        <f>A29/F30-100%</f>
        <v>0.69072164948453607</v>
      </c>
      <c r="H30" s="20"/>
      <c r="J30" s="44"/>
    </row>
    <row r="31" spans="1:11" x14ac:dyDescent="0.25">
      <c r="A31" s="14" t="s">
        <v>44</v>
      </c>
      <c r="B31" s="20"/>
      <c r="C31" s="25">
        <v>10000</v>
      </c>
      <c r="D31" s="35"/>
      <c r="E31" s="25">
        <f>C31</f>
        <v>10000</v>
      </c>
      <c r="F31" s="12"/>
      <c r="G31" s="26"/>
      <c r="H31" s="13"/>
      <c r="J31" s="44"/>
    </row>
    <row r="32" spans="1:11" x14ac:dyDescent="0.25">
      <c r="A32" s="43" t="s">
        <v>7</v>
      </c>
      <c r="B32" s="19"/>
      <c r="C32" s="33"/>
      <c r="D32" s="34"/>
      <c r="E32" s="33"/>
      <c r="F32" s="8"/>
      <c r="G32" s="7"/>
      <c r="H32" s="9"/>
      <c r="J32" s="44"/>
    </row>
    <row r="33" spans="1:11" x14ac:dyDescent="0.25">
      <c r="A33" s="28">
        <v>73000</v>
      </c>
      <c r="B33" s="20"/>
      <c r="C33" s="25"/>
      <c r="D33" s="35"/>
      <c r="E33" s="25">
        <f>SUM(E34:E37)</f>
        <v>73000</v>
      </c>
      <c r="F33" s="12">
        <v>43249</v>
      </c>
      <c r="G33" s="26">
        <f>A33/F33-100%</f>
        <v>0.68790029827279242</v>
      </c>
      <c r="H33" s="20"/>
      <c r="I33" s="66">
        <f>SUM(I34:I38)</f>
        <v>26229.8</v>
      </c>
      <c r="J33" s="44">
        <f t="shared" si="0"/>
        <v>0.35931232876712327</v>
      </c>
    </row>
    <row r="34" spans="1:11" x14ac:dyDescent="0.25">
      <c r="A34" s="42" t="s">
        <v>45</v>
      </c>
      <c r="B34" s="20"/>
      <c r="C34" s="25">
        <v>750</v>
      </c>
      <c r="D34" s="35"/>
      <c r="E34" s="25">
        <f>C34*15</f>
        <v>11250</v>
      </c>
      <c r="F34" s="12"/>
      <c r="G34" s="26"/>
      <c r="H34" s="20"/>
      <c r="I34" s="38">
        <v>8380</v>
      </c>
      <c r="J34" s="44">
        <f t="shared" si="0"/>
        <v>0.74488888888888893</v>
      </c>
    </row>
    <row r="35" spans="1:11" ht="30" x14ac:dyDescent="0.25">
      <c r="A35" s="14" t="s">
        <v>46</v>
      </c>
      <c r="B35" s="20"/>
      <c r="C35" s="25">
        <v>3500</v>
      </c>
      <c r="D35" s="35"/>
      <c r="E35" s="25">
        <f>C35*8</f>
        <v>28000</v>
      </c>
      <c r="F35" s="12"/>
      <c r="G35" s="26"/>
      <c r="H35" s="13"/>
      <c r="I35" s="38">
        <v>5959.8</v>
      </c>
      <c r="J35" s="44">
        <f t="shared" si="0"/>
        <v>0.21285000000000001</v>
      </c>
      <c r="K35" s="5" t="s">
        <v>71</v>
      </c>
    </row>
    <row r="36" spans="1:11" x14ac:dyDescent="0.25">
      <c r="A36" s="14" t="s">
        <v>47</v>
      </c>
      <c r="B36" s="20"/>
      <c r="C36" s="25">
        <v>5750</v>
      </c>
      <c r="D36" s="35"/>
      <c r="E36" s="25">
        <f>C36</f>
        <v>5750</v>
      </c>
      <c r="F36" s="12"/>
      <c r="G36" s="26"/>
      <c r="H36" s="13"/>
      <c r="I36" s="38">
        <f>600+350*2</f>
        <v>1300</v>
      </c>
      <c r="J36" s="44">
        <f t="shared" si="0"/>
        <v>0.22608695652173913</v>
      </c>
      <c r="K36" s="5" t="s">
        <v>67</v>
      </c>
    </row>
    <row r="37" spans="1:11" ht="30" x14ac:dyDescent="0.25">
      <c r="A37" s="14" t="s">
        <v>48</v>
      </c>
      <c r="B37" s="20"/>
      <c r="C37" s="25">
        <v>28000</v>
      </c>
      <c r="D37" s="35"/>
      <c r="E37" s="25">
        <f>C37</f>
        <v>28000</v>
      </c>
      <c r="F37" s="12"/>
      <c r="G37" s="26"/>
      <c r="H37" s="13" t="s">
        <v>49</v>
      </c>
      <c r="I37" s="38"/>
      <c r="J37" s="44">
        <f t="shared" si="0"/>
        <v>0</v>
      </c>
    </row>
    <row r="38" spans="1:11" ht="45" x14ac:dyDescent="0.25">
      <c r="A38" s="14" t="s">
        <v>69</v>
      </c>
      <c r="B38" s="20"/>
      <c r="C38" s="25"/>
      <c r="D38" s="35"/>
      <c r="E38" s="25"/>
      <c r="F38" s="12"/>
      <c r="G38" s="26"/>
      <c r="H38" s="13"/>
      <c r="I38" s="38">
        <f>1380+4890+4320</f>
        <v>10590</v>
      </c>
      <c r="J38" s="44"/>
      <c r="K38" s="5" t="s">
        <v>70</v>
      </c>
    </row>
    <row r="39" spans="1:11" ht="45" x14ac:dyDescent="0.25">
      <c r="A39" s="6" t="s">
        <v>50</v>
      </c>
      <c r="B39" s="19"/>
      <c r="C39" s="33"/>
      <c r="D39" s="34"/>
      <c r="E39" s="33"/>
      <c r="F39" s="8"/>
      <c r="G39" s="7"/>
      <c r="H39" s="9"/>
      <c r="J39" s="44"/>
    </row>
    <row r="40" spans="1:11" ht="105" x14ac:dyDescent="0.25">
      <c r="A40" s="22">
        <v>70000</v>
      </c>
      <c r="B40" s="21"/>
      <c r="C40" s="27"/>
      <c r="D40" s="36"/>
      <c r="E40" s="37">
        <v>70000</v>
      </c>
      <c r="F40" s="17"/>
      <c r="G40" s="16"/>
      <c r="H40" s="18"/>
      <c r="I40" s="66">
        <v>36263.54</v>
      </c>
      <c r="J40" s="44">
        <f t="shared" si="0"/>
        <v>0.51805057142857147</v>
      </c>
      <c r="K40" s="5" t="s">
        <v>74</v>
      </c>
    </row>
    <row r="41" spans="1:11" x14ac:dyDescent="0.25">
      <c r="A41" s="6" t="s">
        <v>8</v>
      </c>
      <c r="B41" s="19"/>
      <c r="C41" s="33"/>
      <c r="D41" s="34"/>
      <c r="E41" s="33"/>
      <c r="F41" s="8"/>
      <c r="G41" s="7"/>
      <c r="H41" s="9"/>
      <c r="J41" s="44"/>
    </row>
    <row r="42" spans="1:11" ht="30" x14ac:dyDescent="0.25">
      <c r="A42" s="22">
        <v>15000</v>
      </c>
      <c r="B42" s="21"/>
      <c r="C42" s="27">
        <v>15000</v>
      </c>
      <c r="D42" s="36"/>
      <c r="E42" s="37">
        <f>C42</f>
        <v>15000</v>
      </c>
      <c r="F42" s="17"/>
      <c r="G42" s="16"/>
      <c r="H42" s="18" t="s">
        <v>51</v>
      </c>
      <c r="I42" s="66">
        <v>13029</v>
      </c>
      <c r="J42" s="44">
        <f t="shared" si="0"/>
        <v>0.86860000000000004</v>
      </c>
    </row>
    <row r="43" spans="1:11" x14ac:dyDescent="0.25">
      <c r="A43" s="45" t="s">
        <v>9</v>
      </c>
      <c r="B43" s="46"/>
      <c r="C43" s="47"/>
      <c r="D43" s="48"/>
      <c r="E43" s="47"/>
      <c r="F43" s="47"/>
      <c r="G43" s="48"/>
      <c r="H43" s="49"/>
      <c r="J43" s="44"/>
    </row>
    <row r="44" spans="1:11" ht="60" x14ac:dyDescent="0.25">
      <c r="A44" s="50">
        <v>100000</v>
      </c>
      <c r="B44" s="51"/>
      <c r="C44" s="52">
        <v>20000</v>
      </c>
      <c r="D44" s="53"/>
      <c r="E44" s="54">
        <f>C44*5</f>
        <v>100000</v>
      </c>
      <c r="F44" s="52">
        <v>73462.5</v>
      </c>
      <c r="G44" s="55">
        <f>A44/F44-100%</f>
        <v>0.36123872724179007</v>
      </c>
      <c r="H44" s="56" t="s">
        <v>52</v>
      </c>
      <c r="J44" s="44">
        <f t="shared" si="0"/>
        <v>0</v>
      </c>
    </row>
    <row r="45" spans="1:11" x14ac:dyDescent="0.25">
      <c r="A45" s="57" t="s">
        <v>31</v>
      </c>
      <c r="B45" s="51"/>
      <c r="C45" s="52"/>
      <c r="D45" s="53"/>
      <c r="E45" s="52"/>
      <c r="F45" s="52"/>
      <c r="G45" s="55"/>
      <c r="H45" s="58"/>
      <c r="J45" s="44"/>
    </row>
    <row r="46" spans="1:11" x14ac:dyDescent="0.25">
      <c r="A46" s="59" t="s">
        <v>32</v>
      </c>
      <c r="B46" s="60"/>
      <c r="C46" s="61"/>
      <c r="D46" s="62"/>
      <c r="E46" s="61"/>
      <c r="F46" s="61"/>
      <c r="G46" s="63"/>
      <c r="H46" s="64"/>
      <c r="J46" s="44"/>
    </row>
    <row r="47" spans="1:11" ht="30" x14ac:dyDescent="0.25">
      <c r="A47" s="6" t="s">
        <v>28</v>
      </c>
      <c r="B47" s="19"/>
      <c r="C47" s="33"/>
      <c r="D47" s="34"/>
      <c r="E47" s="33"/>
      <c r="F47" s="8"/>
      <c r="G47" s="7"/>
      <c r="H47" s="9"/>
      <c r="J47" s="44"/>
    </row>
    <row r="48" spans="1:11" x14ac:dyDescent="0.25">
      <c r="A48" s="10">
        <v>75000</v>
      </c>
      <c r="B48" s="20"/>
      <c r="C48" s="25"/>
      <c r="D48" s="35"/>
      <c r="E48" s="29">
        <f>SUM(E49:E53)</f>
        <v>75000</v>
      </c>
      <c r="F48" s="12"/>
      <c r="G48" s="11"/>
      <c r="H48" s="13"/>
      <c r="I48" s="66">
        <f>SUM(I49:I53)</f>
        <v>29754.86</v>
      </c>
      <c r="J48" s="44">
        <f t="shared" si="0"/>
        <v>0.3967314666666667</v>
      </c>
    </row>
    <row r="49" spans="1:11" x14ac:dyDescent="0.25">
      <c r="A49" s="14" t="s">
        <v>29</v>
      </c>
      <c r="B49" s="20"/>
      <c r="C49" s="25">
        <v>50</v>
      </c>
      <c r="D49" s="35"/>
      <c r="E49" s="25">
        <f>C49*500</f>
        <v>25000</v>
      </c>
      <c r="F49" s="12"/>
      <c r="G49" s="11"/>
      <c r="H49" s="13"/>
      <c r="I49" s="1">
        <v>10830</v>
      </c>
      <c r="J49" s="44">
        <f t="shared" si="0"/>
        <v>0.43319999999999997</v>
      </c>
    </row>
    <row r="50" spans="1:11" x14ac:dyDescent="0.25">
      <c r="A50" s="42" t="s">
        <v>30</v>
      </c>
      <c r="B50" s="20"/>
      <c r="C50" s="25">
        <v>4000</v>
      </c>
      <c r="D50" s="35"/>
      <c r="E50" s="25">
        <f>C50*4</f>
        <v>16000</v>
      </c>
      <c r="F50" s="12"/>
      <c r="G50" s="11"/>
      <c r="H50" s="20"/>
      <c r="I50" s="1">
        <v>13500</v>
      </c>
      <c r="J50" s="44">
        <f t="shared" si="0"/>
        <v>0.84375</v>
      </c>
    </row>
    <row r="51" spans="1:11" x14ac:dyDescent="0.25">
      <c r="A51" s="42" t="s">
        <v>53</v>
      </c>
      <c r="B51" s="20"/>
      <c r="C51" s="25">
        <v>350</v>
      </c>
      <c r="D51" s="35"/>
      <c r="E51" s="25">
        <f>C51*16</f>
        <v>5600</v>
      </c>
      <c r="F51" s="12"/>
      <c r="G51" s="11"/>
      <c r="H51" s="20"/>
      <c r="I51" s="1">
        <v>1234.8599999999999</v>
      </c>
      <c r="J51" s="44">
        <f t="shared" si="0"/>
        <v>0.22051071428571425</v>
      </c>
    </row>
    <row r="52" spans="1:11" x14ac:dyDescent="0.25">
      <c r="A52" s="14" t="s">
        <v>54</v>
      </c>
      <c r="B52" s="20"/>
      <c r="C52" s="25">
        <v>2100</v>
      </c>
      <c r="D52" s="35"/>
      <c r="E52" s="25">
        <f>C52*4</f>
        <v>8400</v>
      </c>
      <c r="F52" s="12"/>
      <c r="G52" s="11"/>
      <c r="H52" s="13"/>
      <c r="I52" s="1">
        <v>4190</v>
      </c>
      <c r="J52" s="44">
        <f t="shared" si="0"/>
        <v>0.49880952380952381</v>
      </c>
    </row>
    <row r="53" spans="1:11" x14ac:dyDescent="0.25">
      <c r="A53" s="14" t="s">
        <v>32</v>
      </c>
      <c r="B53" s="20"/>
      <c r="C53" s="25">
        <v>20000</v>
      </c>
      <c r="D53" s="35"/>
      <c r="E53" s="25">
        <v>20000</v>
      </c>
      <c r="F53" s="12"/>
      <c r="G53" s="11"/>
      <c r="H53" s="13"/>
      <c r="J53" s="44">
        <f t="shared" si="0"/>
        <v>0</v>
      </c>
      <c r="K53" s="5" t="s">
        <v>72</v>
      </c>
    </row>
    <row r="54" spans="1:11" ht="75" x14ac:dyDescent="0.25">
      <c r="A54" s="6" t="s">
        <v>62</v>
      </c>
      <c r="B54" s="20"/>
      <c r="C54" s="25"/>
      <c r="D54" s="35"/>
      <c r="E54" s="25">
        <v>0</v>
      </c>
      <c r="F54" s="12"/>
      <c r="G54" s="11"/>
      <c r="H54" s="13"/>
      <c r="I54" s="66">
        <v>8000</v>
      </c>
      <c r="J54" s="44"/>
      <c r="K54" s="5" t="s">
        <v>68</v>
      </c>
    </row>
    <row r="55" spans="1:11" x14ac:dyDescent="0.25">
      <c r="A55" s="6" t="s">
        <v>35</v>
      </c>
      <c r="B55" s="19"/>
      <c r="C55" s="33"/>
      <c r="D55" s="34"/>
      <c r="E55" s="33"/>
      <c r="F55" s="8"/>
      <c r="G55" s="7"/>
      <c r="H55" s="9"/>
    </row>
    <row r="56" spans="1:11" x14ac:dyDescent="0.25">
      <c r="A56" s="22">
        <f>SUMIFS(A2:A50,A2:A50,"&gt;0")</f>
        <v>1943356</v>
      </c>
      <c r="B56" s="21"/>
      <c r="C56" s="27"/>
      <c r="D56" s="36"/>
      <c r="E56" s="41"/>
      <c r="F56" s="17"/>
      <c r="G56" s="16"/>
      <c r="H56" s="18"/>
      <c r="I56" s="66">
        <f>I54+I48+I42+I40+I33+I29+I27+I19+I17+I15+I11+I9+I3</f>
        <v>1437151.9300000002</v>
      </c>
      <c r="J56" s="44">
        <f>I56/A56</f>
        <v>0.73952066939871031</v>
      </c>
      <c r="K56" s="69">
        <f>I56-A56</f>
        <v>-506204.06999999983</v>
      </c>
    </row>
    <row r="57" spans="1:11" x14ac:dyDescent="0.25">
      <c r="A57" s="65">
        <f>(A56-515000)/117</f>
        <v>12208.17094017094</v>
      </c>
    </row>
    <row r="58" spans="1:11" x14ac:dyDescent="0.25">
      <c r="A58" s="65">
        <f>A57/12</f>
        <v>1017.3475783475783</v>
      </c>
    </row>
  </sheetData>
  <mergeCells count="2">
    <mergeCell ref="F20:F23"/>
    <mergeCell ref="G20:G23"/>
  </mergeCells>
  <conditionalFormatting sqref="J1:J1048576">
    <cfRule type="cellIs" dxfId="1" priority="1" operator="lessThan">
      <formula>1</formula>
    </cfRule>
    <cfRule type="cellIs" dxfId="0" priority="2" operator="greaterThan">
      <formula>1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HOFF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Pronina Ekaterina</dc:creator>
  <cp:lastModifiedBy>Sony VAIO</cp:lastModifiedBy>
  <dcterms:created xsi:type="dcterms:W3CDTF">2022-07-23T12:26:28Z</dcterms:created>
  <dcterms:modified xsi:type="dcterms:W3CDTF">2023-06-17T16:14:32Z</dcterms:modified>
</cp:coreProperties>
</file>